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puts" state="visible" r:id="rId5"/>
    <sheet sheetId="3" name="Tax rates" state="visible" r:id="rId6"/>
    <sheet sheetId="4" name="Personal" state="visible" r:id="rId7"/>
    <sheet sheetId="5" name="Company" state="visible" r:id="rId8"/>
  </sheets>
  <definedNames>
    <definedName name="Nation">Inputs!$B$5</definedName>
    <definedName name="Price">Inputs!$B$6</definedName>
    <definedName name="Rent">Inputs!$B$7</definedName>
    <definedName name="PriceGrowth">Inputs!$B$8</definedName>
    <definedName name="RentGrowth">Inputs!$B$9</definedName>
    <definedName name="LTV">Inputs!$B$10</definedName>
    <definedName name="RateP">Inputs!$B$11</definedName>
    <definedName name="RateC">Inputs!$B$12</definedName>
    <definedName name="Voids">Inputs!$B$13</definedName>
    <definedName name="Mgmt">Inputs!$B$14</definedName>
    <definedName name="Other">Inputs!$B$15</definedName>
    <definedName name="BuyCosts">Inputs!$B$16</definedName>
    <definedName name="CoAdmin">Inputs!$B$17</definedName>
    <definedName name="SellPct">Inputs!$B$18</definedName>
    <definedName name="Band">Inputs!$B$19</definedName>
    <definedName name="NonRes">Inputs!$B$20</definedName>
    <definedName name="Payout">Inputs!$B$21</definedName>
    <definedName name="Loan">Inputs!$B$24</definedName>
    <definedName name="Stamp">Inputs!$B$25</definedName>
    <definedName name="Equity">Inputs!$B$26</definedName>
    <definedName name="BaseCost">Inputs!$B$27</definedName>
    <definedName name="SalePrice">Inputs!$B$28</definedName>
    <definedName name="SaleCosts">Inputs!$B$29</definedName>
    <definedName name="SDLT_L">'Tax rates'!$B$4:$B$8</definedName>
    <definedName name="SDLT_D">'Tax rates'!$D$4:$D$8</definedName>
    <definedName name="LTT_L">'Tax rates'!$B$11:$B$16</definedName>
    <definedName name="LTT_D">'Tax rates'!$D$11:$D$16</definedName>
    <definedName name="LBTT_L">'Tax rates'!$B$19:$B$23</definedName>
    <definedName name="LBTT_D">'Tax rates'!$D$19:$D$23</definedName>
    <definedName name="BandNames">'Tax rates'!$B$25:$D$25</definedName>
    <definedName name="PropY1">'Tax rates'!$B$26:$D$26</definedName>
    <definedName name="PropY2">'Tax rates'!$B$27:$D$27</definedName>
    <definedName name="DivRates">'Tax rates'!$B$28:$D$28</definedName>
    <definedName name="CGTRates">'Tax rates'!$B$29:$D$29</definedName>
    <definedName name="CreditY1">'Tax rates'!$B$31</definedName>
    <definedName name="CreditY2">'Tax rates'!$B$32</definedName>
    <definedName name="DivAllow">'Tax rates'!$B$33</definedName>
    <definedName name="CGTAllow">'Tax rates'!$B$34</definedName>
    <definedName name="BasicBand">'Tax rates'!$B$35</definedName>
    <definedName name="CTSmall">'Tax rates'!$B$36</definedName>
    <definedName name="CTMain">'Tax rates'!$B$37</definedName>
  </definedNames>
  <calcPr calcId="171027" fullCalcOnLoad="1"/>
</workbook>
</file>

<file path=xl/sharedStrings.xml><?xml version="1.0" encoding="utf-8"?>
<sst xmlns="http://schemas.openxmlformats.org/spreadsheetml/2006/main" count="138" uniqueCount="116">
  <si>
    <t>Summary: 10-year hold</t>
  </si>
  <si>
    <t/>
  </si>
  <si>
    <t>Personal</t>
  </si>
  <si>
    <t>Company, paid to you</t>
  </si>
  <si>
    <t>Company, kept inside</t>
  </si>
  <si>
    <t>Annual return (IRR)</t>
  </si>
  <si>
    <t>Cash in</t>
  </si>
  <si>
    <t>Cash back over 10 years</t>
  </si>
  <si>
    <t>Profit on your cash</t>
  </si>
  <si>
    <t>Total UK tax paid</t>
  </si>
  <si>
    <t>Sources: HM Land Registry UK HPI; ONS Price Index of Private Rents; GOV.UK tax pages listed on the Tax rates sheet.</t>
  </si>
  <si>
    <t>Not modelled: tax where you live, your other income, refinancing, capital repayment, ATED filings, product fees.</t>
  </si>
  <si>
    <t>UK Buy-to-Let Returns Lab: personal vs limited company</t>
  </si>
  <si>
    <t>Yellow cells are inputs. Everything else is a formula. Illustrative only, not tax or financial advice.</t>
  </si>
  <si>
    <t>Region (for reference)</t>
  </si>
  <si>
    <t>North West</t>
  </si>
  <si>
    <t>Defaults: Land Registry average price 2026-07, ONS average rent 2026-08</t>
  </si>
  <si>
    <t>Nation: england / wales / scotland / ni</t>
  </si>
  <si>
    <t>england</t>
  </si>
  <si>
    <t>Sets the purchase tax: SDLT (England, NI), LTT (Wales), LBTT + ADS (Scotland)</t>
  </si>
  <si>
    <t>Purchase price</t>
  </si>
  <si>
    <t>Rent per month</t>
  </si>
  <si>
    <t>Price growth per year</t>
  </si>
  <si>
    <t>Default: region's annual average over the last 10 years (Land Registry)</t>
  </si>
  <si>
    <t>Rent growth per year</t>
  </si>
  <si>
    <t>Default: region's annual average over the last 10 years (ONS)</t>
  </si>
  <si>
    <t>Loan to value</t>
  </si>
  <si>
    <t>Interest-only mortgage</t>
  </si>
  <si>
    <t>Mortgage rate, personal</t>
  </si>
  <si>
    <t>Assumption: use your own quote</t>
  </si>
  <si>
    <t>Mortgage rate, company</t>
  </si>
  <si>
    <t>Voids (% of rent)</t>
  </si>
  <si>
    <t>Assumption</t>
  </si>
  <si>
    <t>Letting agent (% of rent collected)</t>
  </si>
  <si>
    <t>Repairs, insurance, compliance (% of rent collected)</t>
  </si>
  <si>
    <t>Buying costs excl. stamp duty</t>
  </si>
  <si>
    <t>Assumption: legal, survey, broker</t>
  </si>
  <si>
    <t>Company accounts and filings per year</t>
  </si>
  <si>
    <t>Selling costs (% of sale price)</t>
  </si>
  <si>
    <t>UK tax band: basic / higher / additional</t>
  </si>
  <si>
    <t>higher</t>
  </si>
  <si>
    <t>Live outside the UK? (TRUE / FALSE)</t>
  </si>
  <si>
    <t>2% SDLT surcharge in England and NI</t>
  </si>
  <si>
    <t>Company profits: annual / exit</t>
  </si>
  <si>
    <t>annual</t>
  </si>
  <si>
    <t>annual = paid out every year; exit = kept in the company until sale</t>
  </si>
  <si>
    <t>Derived</t>
  </si>
  <si>
    <t>Mortgage</t>
  </si>
  <si>
    <t>Purchase tax</t>
  </si>
  <si>
    <t>Your cash in (deposit + purchase tax + buying costs)</t>
  </si>
  <si>
    <t>Base cost for tax on the gain</t>
  </si>
  <si>
    <t>Sale price after 10 years</t>
  </si>
  <si>
    <t>Selling costs</t>
  </si>
  <si>
    <t>Gross yield</t>
  </si>
  <si>
    <t>Tax rates used (sources in column E)</t>
  </si>
  <si>
    <t>SDLT, England &amp; NI (plus 5% surcharge, +2% non-resident)</t>
  </si>
  <si>
    <t>Band starts at</t>
  </si>
  <si>
    <t>Rate</t>
  </si>
  <si>
    <t>Step in rate</t>
  </si>
  <si>
    <t>gov.uk/stamp-duty-land-tax/residential-property-rates</t>
  </si>
  <si>
    <t>LTT higher rates, Wales</t>
  </si>
  <si>
    <t>gov.wales/land-transaction-tax-rates-and-bands</t>
  </si>
  <si>
    <t>LBTT, Scotland (plus 8% ADS)</t>
  </si>
  <si>
    <t>revenue.scot LBTT residential rates; ADS 8% from 5 Dec 2024</t>
  </si>
  <si>
    <t>Income and dividend tax</t>
  </si>
  <si>
    <t>basic</t>
  </si>
  <si>
    <t>additional</t>
  </si>
  <si>
    <t>Property income 2026/27</t>
  </si>
  <si>
    <t>Standard income tax rates</t>
  </si>
  <si>
    <t>Property income from April 2027</t>
  </si>
  <si>
    <t>Autumn Budget 2025 (House of Commons Library CBP-10450)</t>
  </si>
  <si>
    <t>Dividends from April 2026</t>
  </si>
  <si>
    <t>gov.uk/tax-on-dividends</t>
  </si>
  <si>
    <t>Capital gains on residential property</t>
  </si>
  <si>
    <t>gov.uk/capital-gains-tax/rates</t>
  </si>
  <si>
    <t>Finance cost credit 2026/27</t>
  </si>
  <si>
    <t>Finance cost credit from April 2027</t>
  </si>
  <si>
    <t>Dividend allowance</t>
  </si>
  <si>
    <t>CGT annual exempt amount</t>
  </si>
  <si>
    <t>Basic rate band</t>
  </si>
  <si>
    <t>Corporation tax: small profits rate (to £50k)</t>
  </si>
  <si>
    <t>Corporation tax: main rate (over £250k)</t>
  </si>
  <si>
    <t>Year</t>
  </si>
  <si>
    <t>Buy</t>
  </si>
  <si>
    <t>Gross rent</t>
  </si>
  <si>
    <t>Rent collected (after voids)</t>
  </si>
  <si>
    <t>Letting agent, repairs, insurance</t>
  </si>
  <si>
    <t>Mortgage interest</t>
  </si>
  <si>
    <t>Rental profit (interest not deductible)</t>
  </si>
  <si>
    <t>Losses brought forward</t>
  </si>
  <si>
    <t>Taxable rental profit</t>
  </si>
  <si>
    <t>Losses carried forward</t>
  </si>
  <si>
    <t>Finance costs available for credit</t>
  </si>
  <si>
    <t>Finance costs relieved</t>
  </si>
  <si>
    <t>Finance costs carried forward</t>
  </si>
  <si>
    <t>Income tax</t>
  </si>
  <si>
    <t>Sale price less costs and mortgage</t>
  </si>
  <si>
    <t>Taxable gain</t>
  </si>
  <si>
    <t>Capital gains tax</t>
  </si>
  <si>
    <t>Cash to you</t>
  </si>
  <si>
    <t>Company</t>
  </si>
  <si>
    <t>Company accounts and filings</t>
  </si>
  <si>
    <t>Mortgage interest (deductible)</t>
  </si>
  <si>
    <t>Rental profit</t>
  </si>
  <si>
    <t>Chargeable gain on sale</t>
  </si>
  <si>
    <t>Taxable profit</t>
  </si>
  <si>
    <t>Corporation tax</t>
  </si>
  <si>
    <t>Company cash available</t>
  </si>
  <si>
    <t>Director's loan owed to you (start)</t>
  </si>
  <si>
    <t>Paid out to you (before tax)</t>
  </si>
  <si>
    <t>Director's loan repaid (tax-free)</t>
  </si>
  <si>
    <t>Dividend</t>
  </si>
  <si>
    <t>Dividend tax</t>
  </si>
  <si>
    <t>Director's loan owed to you (end)</t>
  </si>
  <si>
    <t>Kept in the company</t>
  </si>
  <si>
    <t>Value before dividend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</si>
</sst>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£#,##0;[Red]-£#,##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0F5C4A"/>
      <sz val="14"/>
    </font>
    <font>
      <b/>
    </font>
    <font>
      <i/>
      <color rgb="FF666666"/>
    </font>
    <font>
      <color rgb="FF666666"/>
    </font>
    <font>
      <b/>
      <color rgb="FF0F5C4A"/>
    </font>
    <font>
      <b/>
      <color rgb="FF0F5C4A"/>
      <sz val="13"/>
    </font>
  </fonts>
  <fills count="4">
    <fill>
      <patternFill patternType="none"/>
    </fill>
    <fill>
      <patternFill patternType="gray125"/>
    </fill>
    <fill>
      <patternFill patternType="solid">
        <fgColor rgb="FFE3EFE9"/>
      </patternFill>
    </fill>
    <fill>
      <patternFill patternType="solid">
        <fgColor rgb="FF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/>
    <xf numFmtId="10" fontId="0" fillId="0" borderId="0" xfId="0" applyNumberFormat="1"/>
    <xf numFmtId="164" fontId="0" fillId="0" borderId="0" xfId="0" applyNumberFormat="1"/>
    <xf numFmtId="0" fontId="3" fillId="0" borderId="0" xfId="0" applyFont="1"/>
    <xf numFmtId="0" fontId="0" fillId="3" borderId="0" xfId="0" applyFill="1"/>
    <xf numFmtId="0" fontId="4" fillId="0" borderId="0" xfId="0" applyFont="1"/>
    <xf numFmtId="164" fontId="0" fillId="3" borderId="0" xfId="0" applyNumberFormat="1" applyFill="1"/>
    <xf numFmtId="10" fontId="0" fillId="3" borderId="0" xfId="0" applyNumberFormat="1" applyFill="1"/>
    <xf numFmtId="165" fontId="0" fillId="3" borderId="0" xfId="0" applyNumberFormat="1" applyFill="1"/>
    <xf numFmtId="0" fontId="5" fillId="0" borderId="0" xfId="0" applyFont="1"/>
    <xf numFmtId="165" fontId="0" fillId="0" borderId="0" xfId="0" applyNumberFormat="1"/>
    <xf numFmtId="0" fontId="6" fillId="0" borderId="0" xfId="0" applyFont="1"/>
    <xf numFmtId="0" fontId="2" fillId="0" borderId="0" xfId="0" applyFont="1"/>
    <xf numFmtId="0" fontId="2" fillId="2" borderId="0" xfId="0" applyFont="1" applyFill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 showGridLines="0"/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t="s">
        <v>5</v>
      </c>
      <c r="B4" s="3">
        <f>IRR(Personal!C18:M18)</f>
      </c>
      <c r="C4" s="3">
        <f>IRR(Company!C23:M23)</f>
      </c>
      <c r="D4" s="3">
        <f>IRR(Company!C24:M24)</f>
      </c>
    </row>
    <row r="5" spans="1:4" x14ac:dyDescent="0.25">
      <c r="A5" t="s">
        <v>6</v>
      </c>
      <c r="B5" s="4">
        <f>-Personal!C18</f>
      </c>
      <c r="C5" s="4">
        <f>-Company!C23</f>
      </c>
      <c r="D5" s="4">
        <f>-Company!C24</f>
      </c>
    </row>
    <row r="6" spans="1:4" x14ac:dyDescent="0.25">
      <c r="A6" t="s">
        <v>7</v>
      </c>
      <c r="B6" s="4">
        <f>SUM(Personal!D18:M18)</f>
      </c>
      <c r="C6" s="4">
        <f>SUM(Company!D23:M23)</f>
      </c>
      <c r="D6" s="4">
        <f>SUM(Company!D24:M24)</f>
      </c>
    </row>
    <row r="7" spans="1:4" x14ac:dyDescent="0.25">
      <c r="A7" t="s">
        <v>8</v>
      </c>
      <c r="B7" s="4">
        <f>SUM(Personal!C18:M18)</f>
      </c>
      <c r="C7" s="4">
        <f>SUM(Company!C23:M23)</f>
      </c>
      <c r="D7" s="4">
        <f>SUM(Company!C24:M24)</f>
      </c>
    </row>
    <row r="8" spans="1:4" x14ac:dyDescent="0.25">
      <c r="A8" t="s">
        <v>9</v>
      </c>
      <c r="B8" s="4">
        <f>-SUM(Personal!D14:M14)-SUM(Personal!D17:M17)</f>
      </c>
      <c r="C8" s="4">
        <f>-SUM(Company!D13:M13)-SUM(Company!D20:M20)</f>
      </c>
      <c r="D8" s="4">
        <f>-SUM(Company!D13:M13)</f>
      </c>
    </row>
    <row r="11" spans="1:1" x14ac:dyDescent="0.25">
      <c r="A11" s="5" t="s">
        <v>10</v>
      </c>
    </row>
    <row r="12" spans="1:1" x14ac:dyDescent="0.25">
      <c r="A12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70" customWidth="1"/>
  </cols>
  <sheetData>
    <row r="1" spans="1:1" x14ac:dyDescent="0.25">
      <c r="A1" s="1" t="s">
        <v>12</v>
      </c>
    </row>
    <row r="2" spans="1:1" x14ac:dyDescent="0.25">
      <c r="A2" s="5" t="s">
        <v>13</v>
      </c>
    </row>
    <row r="4" spans="1:3" x14ac:dyDescent="0.25">
      <c r="A4" t="s">
        <v>14</v>
      </c>
      <c r="B4" s="6" t="s">
        <v>15</v>
      </c>
      <c r="C4" s="7" t="s">
        <v>16</v>
      </c>
    </row>
    <row r="5" spans="1:3" x14ac:dyDescent="0.25">
      <c r="A5" t="s">
        <v>17</v>
      </c>
      <c r="B5" s="6" t="s">
        <v>18</v>
      </c>
      <c r="C5" s="7" t="s">
        <v>19</v>
      </c>
    </row>
    <row r="6" spans="1:2" x14ac:dyDescent="0.25">
      <c r="A6" t="s">
        <v>20</v>
      </c>
      <c r="B6" s="8">
        <v>221445</v>
      </c>
    </row>
    <row r="7" spans="1:2" x14ac:dyDescent="0.25">
      <c r="A7" t="s">
        <v>21</v>
      </c>
      <c r="B7" s="8">
        <v>969</v>
      </c>
    </row>
    <row r="8" spans="1:3" x14ac:dyDescent="0.25">
      <c r="A8" t="s">
        <v>22</v>
      </c>
      <c r="B8" s="9">
        <v>0.047</v>
      </c>
      <c r="C8" s="7" t="s">
        <v>23</v>
      </c>
    </row>
    <row r="9" spans="1:3" x14ac:dyDescent="0.25">
      <c r="A9" t="s">
        <v>24</v>
      </c>
      <c r="B9" s="9">
        <v>0.0468</v>
      </c>
      <c r="C9" s="7" t="s">
        <v>25</v>
      </c>
    </row>
    <row r="10" spans="1:3" x14ac:dyDescent="0.25">
      <c r="A10" t="s">
        <v>26</v>
      </c>
      <c r="B10" s="10">
        <v>0.75</v>
      </c>
      <c r="C10" s="7" t="s">
        <v>27</v>
      </c>
    </row>
    <row r="11" spans="1:3" x14ac:dyDescent="0.25">
      <c r="A11" t="s">
        <v>28</v>
      </c>
      <c r="B11" s="9">
        <v>0.05</v>
      </c>
      <c r="C11" s="7" t="s">
        <v>29</v>
      </c>
    </row>
    <row r="12" spans="1:3" x14ac:dyDescent="0.25">
      <c r="A12" t="s">
        <v>30</v>
      </c>
      <c r="B12" s="9">
        <v>0.055</v>
      </c>
      <c r="C12" s="7" t="s">
        <v>29</v>
      </c>
    </row>
    <row r="13" spans="1:3" x14ac:dyDescent="0.25">
      <c r="A13" t="s">
        <v>31</v>
      </c>
      <c r="B13" s="10">
        <v>0.04</v>
      </c>
      <c r="C13" s="7" t="s">
        <v>32</v>
      </c>
    </row>
    <row r="14" spans="1:3" x14ac:dyDescent="0.25">
      <c r="A14" t="s">
        <v>33</v>
      </c>
      <c r="B14" s="10">
        <v>0.1</v>
      </c>
      <c r="C14" s="7" t="s">
        <v>32</v>
      </c>
    </row>
    <row r="15" spans="1:3" x14ac:dyDescent="0.25">
      <c r="A15" t="s">
        <v>34</v>
      </c>
      <c r="B15" s="10">
        <v>0.1</v>
      </c>
      <c r="C15" s="7" t="s">
        <v>32</v>
      </c>
    </row>
    <row r="16" spans="1:3" x14ac:dyDescent="0.25">
      <c r="A16" t="s">
        <v>35</v>
      </c>
      <c r="B16" s="8">
        <v>2500</v>
      </c>
      <c r="C16" s="7" t="s">
        <v>36</v>
      </c>
    </row>
    <row r="17" spans="1:3" x14ac:dyDescent="0.25">
      <c r="A17" t="s">
        <v>37</v>
      </c>
      <c r="B17" s="8">
        <v>1200</v>
      </c>
      <c r="C17" s="7" t="s">
        <v>32</v>
      </c>
    </row>
    <row r="18" spans="1:3" x14ac:dyDescent="0.25">
      <c r="A18" t="s">
        <v>38</v>
      </c>
      <c r="B18" s="10">
        <v>0.015</v>
      </c>
      <c r="C18" s="7" t="s">
        <v>32</v>
      </c>
    </row>
    <row r="19" spans="1:2" x14ac:dyDescent="0.25">
      <c r="A19" t="s">
        <v>39</v>
      </c>
      <c r="B19" s="6" t="s">
        <v>40</v>
      </c>
    </row>
    <row r="20" spans="1:3" x14ac:dyDescent="0.25">
      <c r="A20" t="s">
        <v>41</v>
      </c>
      <c r="B20" s="6" t="b">
        <v>1</v>
      </c>
      <c r="C20" s="7" t="s">
        <v>42</v>
      </c>
    </row>
    <row r="21" spans="1:3" x14ac:dyDescent="0.25">
      <c r="A21" t="s">
        <v>43</v>
      </c>
      <c r="B21" s="6" t="s">
        <v>44</v>
      </c>
      <c r="C21" s="7" t="s">
        <v>45</v>
      </c>
    </row>
    <row r="23" spans="1:1" x14ac:dyDescent="0.25">
      <c r="A23" s="11" t="s">
        <v>46</v>
      </c>
    </row>
    <row r="24" spans="1:2" x14ac:dyDescent="0.25">
      <c r="A24" t="s">
        <v>47</v>
      </c>
      <c r="B24" s="4">
        <f>Price*LTV</f>
      </c>
    </row>
    <row r="25" spans="1:2" x14ac:dyDescent="0.25">
      <c r="A25" t="s">
        <v>48</v>
      </c>
      <c r="B25" s="4">
        <f>IF(Nation="wales",SUMPRODUCT(--(Price&gt;LTT_L),Price-LTT_L,LTT_D),IF(Nation="scotland",SUMPRODUCT(--(Price&gt;LBTT_L),Price-LBTT_L,LBTT_D)+Price*0.08,SUMPRODUCT(--(Price&gt;SDLT_L),Price-SDLT_L,SDLT_D)+Price*(0.05+IF(NonRes,0.02,0))))</f>
      </c>
    </row>
    <row r="26" spans="1:2" x14ac:dyDescent="0.25">
      <c r="A26" t="s">
        <v>49</v>
      </c>
      <c r="B26" s="4">
        <f>Price-Loan+Stamp+BuyCosts</f>
      </c>
    </row>
    <row r="27" spans="1:2" x14ac:dyDescent="0.25">
      <c r="A27" t="s">
        <v>50</v>
      </c>
      <c r="B27" s="4">
        <f>Price+Stamp+BuyCosts</f>
      </c>
    </row>
    <row r="28" spans="1:2" x14ac:dyDescent="0.25">
      <c r="A28" t="s">
        <v>51</v>
      </c>
      <c r="B28" s="4">
        <f>Price*(1+PriceGrowth)^10</f>
      </c>
    </row>
    <row r="29" spans="1:2" x14ac:dyDescent="0.25">
      <c r="A29" t="s">
        <v>52</v>
      </c>
      <c r="B29" s="4">
        <f>SalePrice*SellPct</f>
      </c>
    </row>
    <row r="30" spans="1:2" x14ac:dyDescent="0.25">
      <c r="A30" t="s">
        <v>53</v>
      </c>
      <c r="B30" s="12">
        <f>Rent*12/Price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 showGridLines="0"/>
  </sheetViews>
  <sheetFormatPr defaultRowHeight="15" outlineLevelRow="0" outlineLevelCol="0" x14ac:dyDescent="55"/>
  <cols>
    <col min="1" max="1" width="40" customWidth="1"/>
    <col min="2" max="4" width="14" customWidth="1"/>
    <col min="5" max="5" width="60" customWidth="1"/>
  </cols>
  <sheetData>
    <row r="1" spans="1:1" x14ac:dyDescent="0.25">
      <c r="A1" s="13" t="s">
        <v>54</v>
      </c>
    </row>
    <row r="3" spans="1:5" x14ac:dyDescent="0.25">
      <c r="A3" s="14" t="s">
        <v>55</v>
      </c>
      <c r="B3" t="s">
        <v>56</v>
      </c>
      <c r="C3" t="s">
        <v>57</v>
      </c>
      <c r="D3" t="s">
        <v>58</v>
      </c>
      <c r="E3" t="s">
        <v>59</v>
      </c>
    </row>
    <row r="4" spans="2:4" x14ac:dyDescent="0.25">
      <c r="B4" s="4">
        <v>0</v>
      </c>
      <c r="C4" s="3">
        <v>0</v>
      </c>
      <c r="D4" s="3">
        <f>C4</f>
      </c>
    </row>
    <row r="5" spans="2:4" x14ac:dyDescent="0.25">
      <c r="B5" s="4">
        <v>125000</v>
      </c>
      <c r="C5" s="3">
        <v>0.02</v>
      </c>
      <c r="D5" s="3">
        <f>C5-C4</f>
      </c>
    </row>
    <row r="6" spans="2:4" x14ac:dyDescent="0.25">
      <c r="B6" s="4">
        <v>250000</v>
      </c>
      <c r="C6" s="3">
        <v>0.05</v>
      </c>
      <c r="D6" s="3">
        <f>C6-C5</f>
      </c>
    </row>
    <row r="7" spans="2:4" x14ac:dyDescent="0.25">
      <c r="B7" s="4">
        <v>925000</v>
      </c>
      <c r="C7" s="3">
        <v>0.1</v>
      </c>
      <c r="D7" s="3">
        <f>C7-C6</f>
      </c>
    </row>
    <row r="8" spans="2:4" x14ac:dyDescent="0.25">
      <c r="B8" s="4">
        <v>1500000</v>
      </c>
      <c r="C8" s="3">
        <v>0.12</v>
      </c>
      <c r="D8" s="3">
        <f>C8-C7</f>
      </c>
    </row>
    <row r="10" spans="1:5" x14ac:dyDescent="0.25">
      <c r="A10" s="14" t="s">
        <v>60</v>
      </c>
      <c r="B10" t="s">
        <v>56</v>
      </c>
      <c r="C10" t="s">
        <v>57</v>
      </c>
      <c r="D10" t="s">
        <v>58</v>
      </c>
      <c r="E10" t="s">
        <v>61</v>
      </c>
    </row>
    <row r="11" spans="2:4" x14ac:dyDescent="0.25">
      <c r="B11" s="4">
        <v>0</v>
      </c>
      <c r="C11" s="3">
        <v>0.05</v>
      </c>
      <c r="D11" s="3">
        <f>C11</f>
      </c>
    </row>
    <row r="12" spans="2:4" x14ac:dyDescent="0.25">
      <c r="B12" s="4">
        <v>180000</v>
      </c>
      <c r="C12" s="3">
        <v>0.085</v>
      </c>
      <c r="D12" s="3">
        <f>C12-C11</f>
      </c>
    </row>
    <row r="13" spans="2:4" x14ac:dyDescent="0.25">
      <c r="B13" s="4">
        <v>250000</v>
      </c>
      <c r="C13" s="3">
        <v>0.1</v>
      </c>
      <c r="D13" s="3">
        <f>C13-C12</f>
      </c>
    </row>
    <row r="14" spans="2:4" x14ac:dyDescent="0.25">
      <c r="B14" s="4">
        <v>400000</v>
      </c>
      <c r="C14" s="3">
        <v>0.125</v>
      </c>
      <c r="D14" s="3">
        <f>C14-C13</f>
      </c>
    </row>
    <row r="15" spans="2:4" x14ac:dyDescent="0.25">
      <c r="B15" s="4">
        <v>750000</v>
      </c>
      <c r="C15" s="3">
        <v>0.15</v>
      </c>
      <c r="D15" s="3">
        <f>C15-C14</f>
      </c>
    </row>
    <row r="16" spans="2:4" x14ac:dyDescent="0.25">
      <c r="B16" s="4">
        <v>1500000</v>
      </c>
      <c r="C16" s="3">
        <v>0.17</v>
      </c>
      <c r="D16" s="3">
        <f>C16-C15</f>
      </c>
    </row>
    <row r="18" spans="1:5" x14ac:dyDescent="0.25">
      <c r="A18" s="14" t="s">
        <v>62</v>
      </c>
      <c r="B18" t="s">
        <v>56</v>
      </c>
      <c r="C18" t="s">
        <v>57</v>
      </c>
      <c r="D18" t="s">
        <v>58</v>
      </c>
      <c r="E18" t="s">
        <v>63</v>
      </c>
    </row>
    <row r="19" spans="2:4" x14ac:dyDescent="0.25">
      <c r="B19" s="4">
        <v>0</v>
      </c>
      <c r="C19" s="3">
        <v>0</v>
      </c>
      <c r="D19" s="3">
        <f>C19</f>
      </c>
    </row>
    <row r="20" spans="2:4" x14ac:dyDescent="0.25">
      <c r="B20" s="4">
        <v>145000</v>
      </c>
      <c r="C20" s="3">
        <v>0.02</v>
      </c>
      <c r="D20" s="3">
        <f>C20-C19</f>
      </c>
    </row>
    <row r="21" spans="2:4" x14ac:dyDescent="0.25">
      <c r="B21" s="4">
        <v>250000</v>
      </c>
      <c r="C21" s="3">
        <v>0.05</v>
      </c>
      <c r="D21" s="3">
        <f>C21-C20</f>
      </c>
    </row>
    <row r="22" spans="2:4" x14ac:dyDescent="0.25">
      <c r="B22" s="4">
        <v>325000</v>
      </c>
      <c r="C22" s="3">
        <v>0.1</v>
      </c>
      <c r="D22" s="3">
        <f>C22-C21</f>
      </c>
    </row>
    <row r="23" spans="2:4" x14ac:dyDescent="0.25">
      <c r="B23" s="4">
        <v>750000</v>
      </c>
      <c r="C23" s="3">
        <v>0.12</v>
      </c>
      <c r="D23" s="3">
        <f>C23-C22</f>
      </c>
    </row>
    <row r="25" spans="1:4" x14ac:dyDescent="0.25">
      <c r="A25" s="14" t="s">
        <v>64</v>
      </c>
      <c r="B25" t="s">
        <v>65</v>
      </c>
      <c r="C25" t="s">
        <v>40</v>
      </c>
      <c r="D25" t="s">
        <v>66</v>
      </c>
    </row>
    <row r="26" spans="1:5" x14ac:dyDescent="0.25">
      <c r="A26" t="s">
        <v>67</v>
      </c>
      <c r="B26" s="3">
        <v>0.2</v>
      </c>
      <c r="C26" s="3">
        <v>0.4</v>
      </c>
      <c r="D26" s="3">
        <v>0.45</v>
      </c>
      <c r="E26" t="s">
        <v>68</v>
      </c>
    </row>
    <row r="27" spans="1:5" x14ac:dyDescent="0.25">
      <c r="A27" t="s">
        <v>69</v>
      </c>
      <c r="B27" s="3">
        <v>0.22</v>
      </c>
      <c r="C27" s="3">
        <v>0.42</v>
      </c>
      <c r="D27" s="3">
        <v>0.47</v>
      </c>
      <c r="E27" t="s">
        <v>70</v>
      </c>
    </row>
    <row r="28" spans="1:5" x14ac:dyDescent="0.25">
      <c r="A28" t="s">
        <v>71</v>
      </c>
      <c r="B28" s="3">
        <v>0.1075</v>
      </c>
      <c r="C28" s="3">
        <v>0.3575</v>
      </c>
      <c r="D28" s="3">
        <v>0.3935</v>
      </c>
      <c r="E28" t="s">
        <v>72</v>
      </c>
    </row>
    <row r="29" spans="1:5" x14ac:dyDescent="0.25">
      <c r="A29" t="s">
        <v>73</v>
      </c>
      <c r="B29" s="3">
        <v>0.18</v>
      </c>
      <c r="C29" s="3">
        <v>0.24</v>
      </c>
      <c r="D29" s="3">
        <v>0.24</v>
      </c>
      <c r="E29" t="s">
        <v>74</v>
      </c>
    </row>
    <row r="31" spans="1:2" x14ac:dyDescent="0.25">
      <c r="A31" t="s">
        <v>75</v>
      </c>
      <c r="B31" s="3">
        <v>0.2</v>
      </c>
    </row>
    <row r="32" spans="1:2" x14ac:dyDescent="0.25">
      <c r="A32" t="s">
        <v>76</v>
      </c>
      <c r="B32" s="3">
        <v>0.22</v>
      </c>
    </row>
    <row r="33" spans="1:2" x14ac:dyDescent="0.25">
      <c r="A33" t="s">
        <v>77</v>
      </c>
      <c r="B33" s="4">
        <v>500</v>
      </c>
    </row>
    <row r="34" spans="1:2" x14ac:dyDescent="0.25">
      <c r="A34" t="s">
        <v>78</v>
      </c>
      <c r="B34" s="4">
        <v>3000</v>
      </c>
    </row>
    <row r="35" spans="1:2" x14ac:dyDescent="0.25">
      <c r="A35" t="s">
        <v>79</v>
      </c>
      <c r="B35" s="4">
        <v>37700</v>
      </c>
    </row>
    <row r="36" spans="1:2" x14ac:dyDescent="0.25">
      <c r="A36" t="s">
        <v>80</v>
      </c>
      <c r="B36" s="3">
        <v>0.19</v>
      </c>
    </row>
    <row r="37" spans="1:2" x14ac:dyDescent="0.25">
      <c r="A37" t="s">
        <v>81</v>
      </c>
      <c r="B37" s="3">
        <v>0.25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 showGridLines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3" customWidth="1"/>
    <col min="3" max="13" width="12" customWidth="1"/>
  </cols>
  <sheetData>
    <row r="1" spans="1:1" x14ac:dyDescent="0.25">
      <c r="A1" s="13" t="s">
        <v>2</v>
      </c>
    </row>
    <row r="2" spans="1:13" x14ac:dyDescent="0.25">
      <c r="A2" t="s">
        <v>82</v>
      </c>
      <c r="C2" s="15" t="s">
        <v>83</v>
      </c>
      <c r="D2" s="15">
        <v>1</v>
      </c>
      <c r="E2" s="15">
        <v>2</v>
      </c>
      <c r="F2" s="15">
        <v>3</v>
      </c>
      <c r="G2" s="15">
        <v>4</v>
      </c>
      <c r="H2" s="15">
        <v>5</v>
      </c>
      <c r="I2" s="15">
        <v>6</v>
      </c>
      <c r="J2" s="15">
        <v>7</v>
      </c>
      <c r="K2" s="15">
        <v>8</v>
      </c>
      <c r="L2" s="15">
        <v>9</v>
      </c>
      <c r="M2" s="15">
        <v>10</v>
      </c>
    </row>
    <row r="3" spans="1:13" x14ac:dyDescent="0.25">
      <c r="A3" t="s">
        <v>84</v>
      </c>
      <c r="D3" s="4">
        <f>=Rent*12*(1+RentGrowth)^(1-1)</f>
      </c>
      <c r="E3" s="4">
        <f>=Rent*12*(1+RentGrowth)^(2-1)</f>
      </c>
      <c r="F3" s="4">
        <f>=Rent*12*(1+RentGrowth)^(3-1)</f>
      </c>
      <c r="G3" s="4">
        <f>=Rent*12*(1+RentGrowth)^(4-1)</f>
      </c>
      <c r="H3" s="4">
        <f>=Rent*12*(1+RentGrowth)^(5-1)</f>
      </c>
      <c r="I3" s="4">
        <f>=Rent*12*(1+RentGrowth)^(6-1)</f>
      </c>
      <c r="J3" s="4">
        <f>=Rent*12*(1+RentGrowth)^(7-1)</f>
      </c>
      <c r="K3" s="4">
        <f>=Rent*12*(1+RentGrowth)^(8-1)</f>
      </c>
      <c r="L3" s="4">
        <f>=Rent*12*(1+RentGrowth)^(9-1)</f>
      </c>
      <c r="M3" s="4">
        <f>=Rent*12*(1+RentGrowth)^(10-1)</f>
      </c>
    </row>
    <row r="4" spans="1:13" x14ac:dyDescent="0.25">
      <c r="A4" t="s">
        <v>85</v>
      </c>
      <c r="D4" s="4">
        <f>=D3*(1-Voids)</f>
      </c>
      <c r="E4" s="4">
        <f>=E3*(1-Voids)</f>
      </c>
      <c r="F4" s="4">
        <f>=F3*(1-Voids)</f>
      </c>
      <c r="G4" s="4">
        <f>=G3*(1-Voids)</f>
      </c>
      <c r="H4" s="4">
        <f>=H3*(1-Voids)</f>
      </c>
      <c r="I4" s="4">
        <f>=I3*(1-Voids)</f>
      </c>
      <c r="J4" s="4">
        <f>=J3*(1-Voids)</f>
      </c>
      <c r="K4" s="4">
        <f>=K3*(1-Voids)</f>
      </c>
      <c r="L4" s="4">
        <f>=L3*(1-Voids)</f>
      </c>
      <c r="M4" s="4">
        <f>=M3*(1-Voids)</f>
      </c>
    </row>
    <row r="5" spans="1:13" x14ac:dyDescent="0.25">
      <c r="A5" t="s">
        <v>86</v>
      </c>
      <c r="D5" s="4">
        <f>=-D4*(Mgmt+Other)</f>
      </c>
      <c r="E5" s="4">
        <f>=-E4*(Mgmt+Other)</f>
      </c>
      <c r="F5" s="4">
        <f>=-F4*(Mgmt+Other)</f>
      </c>
      <c r="G5" s="4">
        <f>=-G4*(Mgmt+Other)</f>
      </c>
      <c r="H5" s="4">
        <f>=-H4*(Mgmt+Other)</f>
      </c>
      <c r="I5" s="4">
        <f>=-I4*(Mgmt+Other)</f>
      </c>
      <c r="J5" s="4">
        <f>=-J4*(Mgmt+Other)</f>
      </c>
      <c r="K5" s="4">
        <f>=-K4*(Mgmt+Other)</f>
      </c>
      <c r="L5" s="4">
        <f>=-L4*(Mgmt+Other)</f>
      </c>
      <c r="M5" s="4">
        <f>=-M4*(Mgmt+Other)</f>
      </c>
    </row>
    <row r="6" spans="1:13" x14ac:dyDescent="0.25">
      <c r="A6" t="s">
        <v>87</v>
      </c>
      <c r="D6" s="4">
        <f>=-Loan*RateP</f>
      </c>
      <c r="E6" s="4">
        <f>=-Loan*RateP</f>
      </c>
      <c r="F6" s="4">
        <f>=-Loan*RateP</f>
      </c>
      <c r="G6" s="4">
        <f>=-Loan*RateP</f>
      </c>
      <c r="H6" s="4">
        <f>=-Loan*RateP</f>
      </c>
      <c r="I6" s="4">
        <f>=-Loan*RateP</f>
      </c>
      <c r="J6" s="4">
        <f>=-Loan*RateP</f>
      </c>
      <c r="K6" s="4">
        <f>=-Loan*RateP</f>
      </c>
      <c r="L6" s="4">
        <f>=-Loan*RateP</f>
      </c>
      <c r="M6" s="4">
        <f>=-Loan*RateP</f>
      </c>
    </row>
    <row r="7" spans="1:13" x14ac:dyDescent="0.25">
      <c r="A7" t="s">
        <v>88</v>
      </c>
      <c r="D7" s="4">
        <f>=D4+D5</f>
      </c>
      <c r="E7" s="4">
        <f>=E4+E5</f>
      </c>
      <c r="F7" s="4">
        <f>=F4+F5</f>
      </c>
      <c r="G7" s="4">
        <f>=G4+G5</f>
      </c>
      <c r="H7" s="4">
        <f>=H4+H5</f>
      </c>
      <c r="I7" s="4">
        <f>=I4+I5</f>
      </c>
      <c r="J7" s="4">
        <f>=J4+J5</f>
      </c>
      <c r="K7" s="4">
        <f>=K4+K5</f>
      </c>
      <c r="L7" s="4">
        <f>=L4+L5</f>
      </c>
      <c r="M7" s="4">
        <f>=M4+M5</f>
      </c>
    </row>
    <row r="8" spans="1:13" x14ac:dyDescent="0.25">
      <c r="A8" t="s">
        <v>89</v>
      </c>
      <c r="D8" s="4">
        <f>=IF(1=1,0,C10)</f>
      </c>
      <c r="E8" s="4">
        <f>=IF(2=1,0,D10)</f>
      </c>
      <c r="F8" s="4">
        <f>=IF(3=1,0,E10)</f>
      </c>
      <c r="G8" s="4">
        <f>=IF(4=1,0,F10)</f>
      </c>
      <c r="H8" s="4">
        <f>=IF(5=1,0,G10)</f>
      </c>
      <c r="I8" s="4">
        <f>=IF(6=1,0,H10)</f>
      </c>
      <c r="J8" s="4">
        <f>=IF(7=1,0,I10)</f>
      </c>
      <c r="K8" s="4">
        <f>=IF(8=1,0,J10)</f>
      </c>
      <c r="L8" s="4">
        <f>=IF(9=1,0,K10)</f>
      </c>
      <c r="M8" s="4">
        <f>=IF(10=1,0,L10)</f>
      </c>
    </row>
    <row r="9" spans="1:13" x14ac:dyDescent="0.25">
      <c r="A9" t="s">
        <v>90</v>
      </c>
      <c r="D9" s="4">
        <f>=MAX(0,D7-D8)</f>
      </c>
      <c r="E9" s="4">
        <f>=MAX(0,E7-E8)</f>
      </c>
      <c r="F9" s="4">
        <f>=MAX(0,F7-F8)</f>
      </c>
      <c r="G9" s="4">
        <f>=MAX(0,G7-G8)</f>
      </c>
      <c r="H9" s="4">
        <f>=MAX(0,H7-H8)</f>
      </c>
      <c r="I9" s="4">
        <f>=MAX(0,I7-I8)</f>
      </c>
      <c r="J9" s="4">
        <f>=MAX(0,J7-J8)</f>
      </c>
      <c r="K9" s="4">
        <f>=MAX(0,K7-K8)</f>
      </c>
      <c r="L9" s="4">
        <f>=MAX(0,L7-L8)</f>
      </c>
      <c r="M9" s="4">
        <f>=MAX(0,M7-M8)</f>
      </c>
    </row>
    <row r="10" spans="1:13" x14ac:dyDescent="0.25">
      <c r="A10" t="s">
        <v>91</v>
      </c>
      <c r="D10" s="4">
        <f>=MAX(0,D8-MAX(0,D7))+MAX(0,-D7)</f>
      </c>
      <c r="E10" s="4">
        <f>=MAX(0,E8-MAX(0,E7))+MAX(0,-E7)</f>
      </c>
      <c r="F10" s="4">
        <f>=MAX(0,F8-MAX(0,F7))+MAX(0,-F7)</f>
      </c>
      <c r="G10" s="4">
        <f>=MAX(0,G8-MAX(0,G7))+MAX(0,-G7)</f>
      </c>
      <c r="H10" s="4">
        <f>=MAX(0,H8-MAX(0,H7))+MAX(0,-H7)</f>
      </c>
      <c r="I10" s="4">
        <f>=MAX(0,I8-MAX(0,I7))+MAX(0,-I7)</f>
      </c>
      <c r="J10" s="4">
        <f>=MAX(0,J8-MAX(0,J7))+MAX(0,-J7)</f>
      </c>
      <c r="K10" s="4">
        <f>=MAX(0,K8-MAX(0,K7))+MAX(0,-K7)</f>
      </c>
      <c r="L10" s="4">
        <f>=MAX(0,L8-MAX(0,L7))+MAX(0,-L7)</f>
      </c>
      <c r="M10" s="4">
        <f>=MAX(0,M8-MAX(0,M7))+MAX(0,-M7)</f>
      </c>
    </row>
    <row r="11" spans="1:13" x14ac:dyDescent="0.25">
      <c r="A11" t="s">
        <v>92</v>
      </c>
      <c r="D11" s="4">
        <f>=-D6+IF(1=1,0,C13)</f>
      </c>
      <c r="E11" s="4">
        <f>=-E6+IF(2=1,0,D13)</f>
      </c>
      <c r="F11" s="4">
        <f>=-F6+IF(3=1,0,E13)</f>
      </c>
      <c r="G11" s="4">
        <f>=-G6+IF(4=1,0,F13)</f>
      </c>
      <c r="H11" s="4">
        <f>=-H6+IF(5=1,0,G13)</f>
      </c>
      <c r="I11" s="4">
        <f>=-I6+IF(6=1,0,H13)</f>
      </c>
      <c r="J11" s="4">
        <f>=-J6+IF(7=1,0,I13)</f>
      </c>
      <c r="K11" s="4">
        <f>=-K6+IF(8=1,0,J13)</f>
      </c>
      <c r="L11" s="4">
        <f>=-L6+IF(9=1,0,K13)</f>
      </c>
      <c r="M11" s="4">
        <f>=-M6+IF(10=1,0,L13)</f>
      </c>
    </row>
    <row r="12" spans="1:13" x14ac:dyDescent="0.25">
      <c r="A12" t="s">
        <v>93</v>
      </c>
      <c r="D12" s="4">
        <f>=MIN(D11,D9)</f>
      </c>
      <c r="E12" s="4">
        <f>=MIN(E11,E9)</f>
      </c>
      <c r="F12" s="4">
        <f>=MIN(F11,F9)</f>
      </c>
      <c r="G12" s="4">
        <f>=MIN(G11,G9)</f>
      </c>
      <c r="H12" s="4">
        <f>=MIN(H11,H9)</f>
      </c>
      <c r="I12" s="4">
        <f>=MIN(I11,I9)</f>
      </c>
      <c r="J12" s="4">
        <f>=MIN(J11,J9)</f>
      </c>
      <c r="K12" s="4">
        <f>=MIN(K11,K9)</f>
      </c>
      <c r="L12" s="4">
        <f>=MIN(L11,L9)</f>
      </c>
      <c r="M12" s="4">
        <f>=MIN(M11,M9)</f>
      </c>
    </row>
    <row r="13" spans="1:13" x14ac:dyDescent="0.25">
      <c r="A13" t="s">
        <v>94</v>
      </c>
      <c r="D13" s="4">
        <f>=D11-D12</f>
      </c>
      <c r="E13" s="4">
        <f>=E11-E12</f>
      </c>
      <c r="F13" s="4">
        <f>=F11-F12</f>
      </c>
      <c r="G13" s="4">
        <f>=G11-G12</f>
      </c>
      <c r="H13" s="4">
        <f>=H11-H12</f>
      </c>
      <c r="I13" s="4">
        <f>=I11-I12</f>
      </c>
      <c r="J13" s="4">
        <f>=J11-J12</f>
      </c>
      <c r="K13" s="4">
        <f>=K11-K12</f>
      </c>
      <c r="L13" s="4">
        <f>=L11-L12</f>
      </c>
      <c r="M13" s="4">
        <f>=M11-M12</f>
      </c>
    </row>
    <row r="14" spans="1:13" x14ac:dyDescent="0.25">
      <c r="A14" t="s">
        <v>95</v>
      </c>
      <c r="D14" s="4">
        <f>=-MAX(0,D9*IF(1=1,INDEX(PropY1,MATCH(Band,BandNames,0)),INDEX(PropY2,MATCH(Band,BandNames,0)))-D12*IF(1=1,CreditY1,CreditY2))</f>
      </c>
      <c r="E14" s="4">
        <f>=-MAX(0,E9*IF(2=1,INDEX(PropY1,MATCH(Band,BandNames,0)),INDEX(PropY2,MATCH(Band,BandNames,0)))-E12*IF(2=1,CreditY1,CreditY2))</f>
      </c>
      <c r="F14" s="4">
        <f>=-MAX(0,F9*IF(3=1,INDEX(PropY1,MATCH(Band,BandNames,0)),INDEX(PropY2,MATCH(Band,BandNames,0)))-F12*IF(3=1,CreditY1,CreditY2))</f>
      </c>
      <c r="G14" s="4">
        <f>=-MAX(0,G9*IF(4=1,INDEX(PropY1,MATCH(Band,BandNames,0)),INDEX(PropY2,MATCH(Band,BandNames,0)))-G12*IF(4=1,CreditY1,CreditY2))</f>
      </c>
      <c r="H14" s="4">
        <f>=-MAX(0,H9*IF(5=1,INDEX(PropY1,MATCH(Band,BandNames,0)),INDEX(PropY2,MATCH(Band,BandNames,0)))-H12*IF(5=1,CreditY1,CreditY2))</f>
      </c>
      <c r="I14" s="4">
        <f>=-MAX(0,I9*IF(6=1,INDEX(PropY1,MATCH(Band,BandNames,0)),INDEX(PropY2,MATCH(Band,BandNames,0)))-I12*IF(6=1,CreditY1,CreditY2))</f>
      </c>
      <c r="J14" s="4">
        <f>=-MAX(0,J9*IF(7=1,INDEX(PropY1,MATCH(Band,BandNames,0)),INDEX(PropY2,MATCH(Band,BandNames,0)))-J12*IF(7=1,CreditY1,CreditY2))</f>
      </c>
      <c r="K14" s="4">
        <f>=-MAX(0,K9*IF(8=1,INDEX(PropY1,MATCH(Band,BandNames,0)),INDEX(PropY2,MATCH(Band,BandNames,0)))-K12*IF(8=1,CreditY1,CreditY2))</f>
      </c>
      <c r="L14" s="4">
        <f>=-MAX(0,L9*IF(9=1,INDEX(PropY1,MATCH(Band,BandNames,0)),INDEX(PropY2,MATCH(Band,BandNames,0)))-L12*IF(9=1,CreditY1,CreditY2))</f>
      </c>
      <c r="M14" s="4">
        <f>=-MAX(0,M9*IF(10=1,INDEX(PropY1,MATCH(Band,BandNames,0)),INDEX(PropY2,MATCH(Band,BandNames,0)))-M12*IF(10=1,CreditY1,CreditY2))</f>
      </c>
    </row>
    <row r="15" spans="1:13" x14ac:dyDescent="0.25">
      <c r="A15" t="s">
        <v>96</v>
      </c>
      <c r="D15" s="4">
        <f>=IF(FALSE,SalePrice-SaleCosts-Loan,0)</f>
      </c>
      <c r="E15" s="4">
        <f>=IF(FALSE,SalePrice-SaleCosts-Loan,0)</f>
      </c>
      <c r="F15" s="4">
        <f>=IF(FALSE,SalePrice-SaleCosts-Loan,0)</f>
      </c>
      <c r="G15" s="4">
        <f>=IF(FALSE,SalePrice-SaleCosts-Loan,0)</f>
      </c>
      <c r="H15" s="4">
        <f>=IF(FALSE,SalePrice-SaleCosts-Loan,0)</f>
      </c>
      <c r="I15" s="4">
        <f>=IF(FALSE,SalePrice-SaleCosts-Loan,0)</f>
      </c>
      <c r="J15" s="4">
        <f>=IF(FALSE,SalePrice-SaleCosts-Loan,0)</f>
      </c>
      <c r="K15" s="4">
        <f>=IF(FALSE,SalePrice-SaleCosts-Loan,0)</f>
      </c>
      <c r="L15" s="4">
        <f>=IF(FALSE,SalePrice-SaleCosts-Loan,0)</f>
      </c>
      <c r="M15" s="4">
        <f>=IF(TRUE,SalePrice-SaleCosts-Loan,0)</f>
      </c>
    </row>
    <row r="16" spans="1:13" x14ac:dyDescent="0.25">
      <c r="A16" t="s">
        <v>97</v>
      </c>
      <c r="D16" s="4">
        <f>=IF(FALSE,MAX(0,SalePrice-SaleCosts-BaseCost-CGTAllow),0)</f>
      </c>
      <c r="E16" s="4">
        <f>=IF(FALSE,MAX(0,SalePrice-SaleCosts-BaseCost-CGTAllow),0)</f>
      </c>
      <c r="F16" s="4">
        <f>=IF(FALSE,MAX(0,SalePrice-SaleCosts-BaseCost-CGTAllow),0)</f>
      </c>
      <c r="G16" s="4">
        <f>=IF(FALSE,MAX(0,SalePrice-SaleCosts-BaseCost-CGTAllow),0)</f>
      </c>
      <c r="H16" s="4">
        <f>=IF(FALSE,MAX(0,SalePrice-SaleCosts-BaseCost-CGTAllow),0)</f>
      </c>
      <c r="I16" s="4">
        <f>=IF(FALSE,MAX(0,SalePrice-SaleCosts-BaseCost-CGTAllow),0)</f>
      </c>
      <c r="J16" s="4">
        <f>=IF(FALSE,MAX(0,SalePrice-SaleCosts-BaseCost-CGTAllow),0)</f>
      </c>
      <c r="K16" s="4">
        <f>=IF(FALSE,MAX(0,SalePrice-SaleCosts-BaseCost-CGTAllow),0)</f>
      </c>
      <c r="L16" s="4">
        <f>=IF(FALSE,MAX(0,SalePrice-SaleCosts-BaseCost-CGTAllow),0)</f>
      </c>
      <c r="M16" s="4">
        <f>=IF(TRUE,MAX(0,SalePrice-SaleCosts-BaseCost-CGTAllow),0)</f>
      </c>
    </row>
    <row r="17" spans="1:13" x14ac:dyDescent="0.25">
      <c r="A17" t="s">
        <v>98</v>
      </c>
      <c r="D17" s="4">
        <f>-IF(Band="basic",MIN(D16,MAX(0,BasicBand-D9))*INDEX(CGTRates,1)+MAX(0,D16-MAX(0,BasicBand-D9))*INDEX(CGTRates,2),D16*INDEX(CGTRates,2))</f>
      </c>
      <c r="E17" s="4">
        <f>-IF(Band="basic",MIN(E16,MAX(0,BasicBand-E9))*INDEX(CGTRates,1)+MAX(0,E16-MAX(0,BasicBand-E9))*INDEX(CGTRates,2),E16*INDEX(CGTRates,2))</f>
      </c>
      <c r="F17" s="4">
        <f>-IF(Band="basic",MIN(F16,MAX(0,BasicBand-F9))*INDEX(CGTRates,1)+MAX(0,F16-MAX(0,BasicBand-F9))*INDEX(CGTRates,2),F16*INDEX(CGTRates,2))</f>
      </c>
      <c r="G17" s="4">
        <f>-IF(Band="basic",MIN(G16,MAX(0,BasicBand-G9))*INDEX(CGTRates,1)+MAX(0,G16-MAX(0,BasicBand-G9))*INDEX(CGTRates,2),G16*INDEX(CGTRates,2))</f>
      </c>
      <c r="H17" s="4">
        <f>-IF(Band="basic",MIN(H16,MAX(0,BasicBand-H9))*INDEX(CGTRates,1)+MAX(0,H16-MAX(0,BasicBand-H9))*INDEX(CGTRates,2),H16*INDEX(CGTRates,2))</f>
      </c>
      <c r="I17" s="4">
        <f>-IF(Band="basic",MIN(I16,MAX(0,BasicBand-I9))*INDEX(CGTRates,1)+MAX(0,I16-MAX(0,BasicBand-I9))*INDEX(CGTRates,2),I16*INDEX(CGTRates,2))</f>
      </c>
      <c r="J17" s="4">
        <f>-IF(Band="basic",MIN(J16,MAX(0,BasicBand-J9))*INDEX(CGTRates,1)+MAX(0,J16-MAX(0,BasicBand-J9))*INDEX(CGTRates,2),J16*INDEX(CGTRates,2))</f>
      </c>
      <c r="K17" s="4">
        <f>-IF(Band="basic",MIN(K16,MAX(0,BasicBand-K9))*INDEX(CGTRates,1)+MAX(0,K16-MAX(0,BasicBand-K9))*INDEX(CGTRates,2),K16*INDEX(CGTRates,2))</f>
      </c>
      <c r="L17" s="4">
        <f>-IF(Band="basic",MIN(L16,MAX(0,BasicBand-L9))*INDEX(CGTRates,1)+MAX(0,L16-MAX(0,BasicBand-L9))*INDEX(CGTRates,2),L16*INDEX(CGTRates,2))</f>
      </c>
      <c r="M17" s="4">
        <f>-IF(Band="basic",MIN(M16,MAX(0,BasicBand-M9))*INDEX(CGTRates,1)+MAX(0,M16-MAX(0,BasicBand-M9))*INDEX(CGTRates,2),M16*INDEX(CGTRates,2))</f>
      </c>
    </row>
    <row r="18" spans="1:13" s="14" customFormat="1" x14ac:dyDescent="0.25">
      <c r="A18" s="14" t="s">
        <v>99</v>
      </c>
      <c r="C18" s="16">
        <f>=-Equity</f>
      </c>
      <c r="D18" s="16">
        <f>=D4+D5+D6+D14+D15+D17</f>
      </c>
      <c r="E18" s="16">
        <f>=E4+E5+E6+E14+E15+E17</f>
      </c>
      <c r="F18" s="16">
        <f>=F4+F5+F6+F14+F15+F17</f>
      </c>
      <c r="G18" s="16">
        <f>=G4+G5+G6+G14+G15+G17</f>
      </c>
      <c r="H18" s="16">
        <f>=H4+H5+H6+H14+H15+H17</f>
      </c>
      <c r="I18" s="16">
        <f>=I4+I5+I6+I14+I15+I17</f>
      </c>
      <c r="J18" s="16">
        <f>=J4+J5+J6+J14+J15+J17</f>
      </c>
      <c r="K18" s="16">
        <f>=K4+K5+K6+K14+K15+K17</f>
      </c>
      <c r="L18" s="16">
        <f>=L4+L5+L6+L14+L15+L17</f>
      </c>
      <c r="M18" s="16">
        <f>=M4+M5+M6+M14+M15+M17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 showGridLines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3" customWidth="1"/>
    <col min="3" max="13" width="12" customWidth="1"/>
  </cols>
  <sheetData>
    <row r="1" spans="1:1" x14ac:dyDescent="0.25">
      <c r="A1" s="13" t="s">
        <v>100</v>
      </c>
    </row>
    <row r="2" spans="1:13" x14ac:dyDescent="0.25">
      <c r="A2" t="s">
        <v>82</v>
      </c>
      <c r="C2" s="15" t="s">
        <v>83</v>
      </c>
      <c r="D2" s="15">
        <v>1</v>
      </c>
      <c r="E2" s="15">
        <v>2</v>
      </c>
      <c r="F2" s="15">
        <v>3</v>
      </c>
      <c r="G2" s="15">
        <v>4</v>
      </c>
      <c r="H2" s="15">
        <v>5</v>
      </c>
      <c r="I2" s="15">
        <v>6</v>
      </c>
      <c r="J2" s="15">
        <v>7</v>
      </c>
      <c r="K2" s="15">
        <v>8</v>
      </c>
      <c r="L2" s="15">
        <v>9</v>
      </c>
      <c r="M2" s="15">
        <v>10</v>
      </c>
    </row>
    <row r="3" spans="1:13" x14ac:dyDescent="0.25">
      <c r="A3" t="s">
        <v>84</v>
      </c>
      <c r="D3" s="4">
        <f>=Rent*12*(1+RentGrowth)^(1-1)</f>
      </c>
      <c r="E3" s="4">
        <f>=Rent*12*(1+RentGrowth)^(2-1)</f>
      </c>
      <c r="F3" s="4">
        <f>=Rent*12*(1+RentGrowth)^(3-1)</f>
      </c>
      <c r="G3" s="4">
        <f>=Rent*12*(1+RentGrowth)^(4-1)</f>
      </c>
      <c r="H3" s="4">
        <f>=Rent*12*(1+RentGrowth)^(5-1)</f>
      </c>
      <c r="I3" s="4">
        <f>=Rent*12*(1+RentGrowth)^(6-1)</f>
      </c>
      <c r="J3" s="4">
        <f>=Rent*12*(1+RentGrowth)^(7-1)</f>
      </c>
      <c r="K3" s="4">
        <f>=Rent*12*(1+RentGrowth)^(8-1)</f>
      </c>
      <c r="L3" s="4">
        <f>=Rent*12*(1+RentGrowth)^(9-1)</f>
      </c>
      <c r="M3" s="4">
        <f>=Rent*12*(1+RentGrowth)^(10-1)</f>
      </c>
    </row>
    <row r="4" spans="1:13" x14ac:dyDescent="0.25">
      <c r="A4" t="s">
        <v>85</v>
      </c>
      <c r="D4" s="4">
        <f>=D3*(1-Voids)</f>
      </c>
      <c r="E4" s="4">
        <f>=E3*(1-Voids)</f>
      </c>
      <c r="F4" s="4">
        <f>=F3*(1-Voids)</f>
      </c>
      <c r="G4" s="4">
        <f>=G3*(1-Voids)</f>
      </c>
      <c r="H4" s="4">
        <f>=H3*(1-Voids)</f>
      </c>
      <c r="I4" s="4">
        <f>=I3*(1-Voids)</f>
      </c>
      <c r="J4" s="4">
        <f>=J3*(1-Voids)</f>
      </c>
      <c r="K4" s="4">
        <f>=K3*(1-Voids)</f>
      </c>
      <c r="L4" s="4">
        <f>=L3*(1-Voids)</f>
      </c>
      <c r="M4" s="4">
        <f>=M3*(1-Voids)</f>
      </c>
    </row>
    <row r="5" spans="1:13" x14ac:dyDescent="0.25">
      <c r="A5" t="s">
        <v>86</v>
      </c>
      <c r="D5" s="4">
        <f>=-D4*(Mgmt+Other)</f>
      </c>
      <c r="E5" s="4">
        <f>=-E4*(Mgmt+Other)</f>
      </c>
      <c r="F5" s="4">
        <f>=-F4*(Mgmt+Other)</f>
      </c>
      <c r="G5" s="4">
        <f>=-G4*(Mgmt+Other)</f>
      </c>
      <c r="H5" s="4">
        <f>=-H4*(Mgmt+Other)</f>
      </c>
      <c r="I5" s="4">
        <f>=-I4*(Mgmt+Other)</f>
      </c>
      <c r="J5" s="4">
        <f>=-J4*(Mgmt+Other)</f>
      </c>
      <c r="K5" s="4">
        <f>=-K4*(Mgmt+Other)</f>
      </c>
      <c r="L5" s="4">
        <f>=-L4*(Mgmt+Other)</f>
      </c>
      <c r="M5" s="4">
        <f>=-M4*(Mgmt+Other)</f>
      </c>
    </row>
    <row r="6" spans="1:13" x14ac:dyDescent="0.25">
      <c r="A6" t="s">
        <v>101</v>
      </c>
      <c r="D6" s="4">
        <f>=-CoAdmin</f>
      </c>
      <c r="E6" s="4">
        <f>=-CoAdmin</f>
      </c>
      <c r="F6" s="4">
        <f>=-CoAdmin</f>
      </c>
      <c r="G6" s="4">
        <f>=-CoAdmin</f>
      </c>
      <c r="H6" s="4">
        <f>=-CoAdmin</f>
      </c>
      <c r="I6" s="4">
        <f>=-CoAdmin</f>
      </c>
      <c r="J6" s="4">
        <f>=-CoAdmin</f>
      </c>
      <c r="K6" s="4">
        <f>=-CoAdmin</f>
      </c>
      <c r="L6" s="4">
        <f>=-CoAdmin</f>
      </c>
      <c r="M6" s="4">
        <f>=-CoAdmin</f>
      </c>
    </row>
    <row r="7" spans="1:13" x14ac:dyDescent="0.25">
      <c r="A7" t="s">
        <v>102</v>
      </c>
      <c r="D7" s="4">
        <f>=-Loan*RateC</f>
      </c>
      <c r="E7" s="4">
        <f>=-Loan*RateC</f>
      </c>
      <c r="F7" s="4">
        <f>=-Loan*RateC</f>
      </c>
      <c r="G7" s="4">
        <f>=-Loan*RateC</f>
      </c>
      <c r="H7" s="4">
        <f>=-Loan*RateC</f>
      </c>
      <c r="I7" s="4">
        <f>=-Loan*RateC</f>
      </c>
      <c r="J7" s="4">
        <f>=-Loan*RateC</f>
      </c>
      <c r="K7" s="4">
        <f>=-Loan*RateC</f>
      </c>
      <c r="L7" s="4">
        <f>=-Loan*RateC</f>
      </c>
      <c r="M7" s="4">
        <f>=-Loan*RateC</f>
      </c>
    </row>
    <row r="8" spans="1:13" x14ac:dyDescent="0.25">
      <c r="A8" t="s">
        <v>103</v>
      </c>
      <c r="D8" s="4">
        <f>=D4+D5+D6+D7</f>
      </c>
      <c r="E8" s="4">
        <f>=E4+E5+E6+E7</f>
      </c>
      <c r="F8" s="4">
        <f>=F4+F5+F6+F7</f>
      </c>
      <c r="G8" s="4">
        <f>=G4+G5+G6+G7</f>
      </c>
      <c r="H8" s="4">
        <f>=H4+H5+H6+H7</f>
      </c>
      <c r="I8" s="4">
        <f>=I4+I5+I6+I7</f>
      </c>
      <c r="J8" s="4">
        <f>=J4+J5+J6+J7</f>
      </c>
      <c r="K8" s="4">
        <f>=K4+K5+K6+K7</f>
      </c>
      <c r="L8" s="4">
        <f>=L4+L5+L6+L7</f>
      </c>
      <c r="M8" s="4">
        <f>=M4+M5+M6+M7</f>
      </c>
    </row>
    <row r="9" spans="1:13" x14ac:dyDescent="0.25">
      <c r="A9" t="s">
        <v>104</v>
      </c>
      <c r="D9" s="4">
        <f>=IF(FALSE,MAX(0,SalePrice-SaleCosts-BaseCost),0)</f>
      </c>
      <c r="E9" s="4">
        <f>=IF(FALSE,MAX(0,SalePrice-SaleCosts-BaseCost),0)</f>
      </c>
      <c r="F9" s="4">
        <f>=IF(FALSE,MAX(0,SalePrice-SaleCosts-BaseCost),0)</f>
      </c>
      <c r="G9" s="4">
        <f>=IF(FALSE,MAX(0,SalePrice-SaleCosts-BaseCost),0)</f>
      </c>
      <c r="H9" s="4">
        <f>=IF(FALSE,MAX(0,SalePrice-SaleCosts-BaseCost),0)</f>
      </c>
      <c r="I9" s="4">
        <f>=IF(FALSE,MAX(0,SalePrice-SaleCosts-BaseCost),0)</f>
      </c>
      <c r="J9" s="4">
        <f>=IF(FALSE,MAX(0,SalePrice-SaleCosts-BaseCost),0)</f>
      </c>
      <c r="K9" s="4">
        <f>=IF(FALSE,MAX(0,SalePrice-SaleCosts-BaseCost),0)</f>
      </c>
      <c r="L9" s="4">
        <f>=IF(FALSE,MAX(0,SalePrice-SaleCosts-BaseCost),0)</f>
      </c>
      <c r="M9" s="4">
        <f>=IF(TRUE,MAX(0,SalePrice-SaleCosts-BaseCost),0)</f>
      </c>
    </row>
    <row r="10" spans="1:13" x14ac:dyDescent="0.25">
      <c r="A10" t="s">
        <v>89</v>
      </c>
      <c r="D10" s="4">
        <f>=IF(1=1,0,C12)</f>
      </c>
      <c r="E10" s="4">
        <f>=IF(2=1,0,D12)</f>
      </c>
      <c r="F10" s="4">
        <f>=IF(3=1,0,E12)</f>
      </c>
      <c r="G10" s="4">
        <f>=IF(4=1,0,F12)</f>
      </c>
      <c r="H10" s="4">
        <f>=IF(5=1,0,G12)</f>
      </c>
      <c r="I10" s="4">
        <f>=IF(6=1,0,H12)</f>
      </c>
      <c r="J10" s="4">
        <f>=IF(7=1,0,I12)</f>
      </c>
      <c r="K10" s="4">
        <f>=IF(8=1,0,J12)</f>
      </c>
      <c r="L10" s="4">
        <f>=IF(9=1,0,K12)</f>
      </c>
      <c r="M10" s="4">
        <f>=IF(10=1,0,L12)</f>
      </c>
    </row>
    <row r="11" spans="1:13" x14ac:dyDescent="0.25">
      <c r="A11" t="s">
        <v>105</v>
      </c>
      <c r="D11" s="4">
        <f>=MAX(0,D8+D9-D10)</f>
      </c>
      <c r="E11" s="4">
        <f>=MAX(0,E8+E9-E10)</f>
      </c>
      <c r="F11" s="4">
        <f>=MAX(0,F8+F9-F10)</f>
      </c>
      <c r="G11" s="4">
        <f>=MAX(0,G8+G9-G10)</f>
      </c>
      <c r="H11" s="4">
        <f>=MAX(0,H8+H9-H10)</f>
      </c>
      <c r="I11" s="4">
        <f>=MAX(0,I8+I9-I10)</f>
      </c>
      <c r="J11" s="4">
        <f>=MAX(0,J8+J9-J10)</f>
      </c>
      <c r="K11" s="4">
        <f>=MAX(0,K8+K9-K10)</f>
      </c>
      <c r="L11" s="4">
        <f>=MAX(0,L8+L9-L10)</f>
      </c>
      <c r="M11" s="4">
        <f>=MAX(0,M8+M9-M10)</f>
      </c>
    </row>
    <row r="12" spans="1:13" x14ac:dyDescent="0.25">
      <c r="A12" t="s">
        <v>91</v>
      </c>
      <c r="D12" s="4">
        <f>=MAX(0,D10-MAX(0,D8+D9))+MAX(0,-(D8+D9))</f>
      </c>
      <c r="E12" s="4">
        <f>=MAX(0,E10-MAX(0,E8+E9))+MAX(0,-(E8+E9))</f>
      </c>
      <c r="F12" s="4">
        <f>=MAX(0,F10-MAX(0,F8+F9))+MAX(0,-(F8+F9))</f>
      </c>
      <c r="G12" s="4">
        <f>=MAX(0,G10-MAX(0,G8+G9))+MAX(0,-(G8+G9))</f>
      </c>
      <c r="H12" s="4">
        <f>=MAX(0,H10-MAX(0,H8+H9))+MAX(0,-(H8+H9))</f>
      </c>
      <c r="I12" s="4">
        <f>=MAX(0,I10-MAX(0,I8+I9))+MAX(0,-(I8+I9))</f>
      </c>
      <c r="J12" s="4">
        <f>=MAX(0,J10-MAX(0,J8+J9))+MAX(0,-(J8+J9))</f>
      </c>
      <c r="K12" s="4">
        <f>=MAX(0,K10-MAX(0,K8+K9))+MAX(0,-(K8+K9))</f>
      </c>
      <c r="L12" s="4">
        <f>=MAX(0,L10-MAX(0,L8+L9))+MAX(0,-(L8+L9))</f>
      </c>
      <c r="M12" s="4">
        <f>=MAX(0,M10-MAX(0,M8+M9))+MAX(0,-(M8+M9))</f>
      </c>
    </row>
    <row r="13" spans="1:13" x14ac:dyDescent="0.25">
      <c r="A13" t="s">
        <v>106</v>
      </c>
      <c r="D13" s="4">
        <f>=-IF(D11&lt;=50000,D11*CTSmall,IF(D11&lt;=250000,D11*CTMain-(250000-D11)*0.015,D11*CTMain))</f>
      </c>
      <c r="E13" s="4">
        <f>=-IF(E11&lt;=50000,E11*CTSmall,IF(E11&lt;=250000,E11*CTMain-(250000-E11)*0.015,E11*CTMain))</f>
      </c>
      <c r="F13" s="4">
        <f>=-IF(F11&lt;=50000,F11*CTSmall,IF(F11&lt;=250000,F11*CTMain-(250000-F11)*0.015,F11*CTMain))</f>
      </c>
      <c r="G13" s="4">
        <f>=-IF(G11&lt;=50000,G11*CTSmall,IF(G11&lt;=250000,G11*CTMain-(250000-G11)*0.015,G11*CTMain))</f>
      </c>
      <c r="H13" s="4">
        <f>=-IF(H11&lt;=50000,H11*CTSmall,IF(H11&lt;=250000,H11*CTMain-(250000-H11)*0.015,H11*CTMain))</f>
      </c>
      <c r="I13" s="4">
        <f>=-IF(I11&lt;=50000,I11*CTSmall,IF(I11&lt;=250000,I11*CTMain-(250000-I11)*0.015,I11*CTMain))</f>
      </c>
      <c r="J13" s="4">
        <f>=-IF(J11&lt;=50000,J11*CTSmall,IF(J11&lt;=250000,J11*CTMain-(250000-J11)*0.015,J11*CTMain))</f>
      </c>
      <c r="K13" s="4">
        <f>=-IF(K11&lt;=50000,K11*CTSmall,IF(K11&lt;=250000,K11*CTMain-(250000-K11)*0.015,K11*CTMain))</f>
      </c>
      <c r="L13" s="4">
        <f>=-IF(L11&lt;=50000,L11*CTSmall,IF(L11&lt;=250000,L11*CTMain-(250000-L11)*0.015,L11*CTMain))</f>
      </c>
      <c r="M13" s="4">
        <f>=-IF(M11&lt;=50000,M11*CTSmall,IF(M11&lt;=250000,M11*CTMain-(250000-M11)*0.015,M11*CTMain))</f>
      </c>
    </row>
    <row r="14" spans="1:13" x14ac:dyDescent="0.25">
      <c r="A14" t="s">
        <v>96</v>
      </c>
      <c r="D14" s="4">
        <f>=IF(FALSE,SalePrice-SaleCosts-Loan,0)</f>
      </c>
      <c r="E14" s="4">
        <f>=IF(FALSE,SalePrice-SaleCosts-Loan,0)</f>
      </c>
      <c r="F14" s="4">
        <f>=IF(FALSE,SalePrice-SaleCosts-Loan,0)</f>
      </c>
      <c r="G14" s="4">
        <f>=IF(FALSE,SalePrice-SaleCosts-Loan,0)</f>
      </c>
      <c r="H14" s="4">
        <f>=IF(FALSE,SalePrice-SaleCosts-Loan,0)</f>
      </c>
      <c r="I14" s="4">
        <f>=IF(FALSE,SalePrice-SaleCosts-Loan,0)</f>
      </c>
      <c r="J14" s="4">
        <f>=IF(FALSE,SalePrice-SaleCosts-Loan,0)</f>
      </c>
      <c r="K14" s="4">
        <f>=IF(FALSE,SalePrice-SaleCosts-Loan,0)</f>
      </c>
      <c r="L14" s="4">
        <f>=IF(FALSE,SalePrice-SaleCosts-Loan,0)</f>
      </c>
      <c r="M14" s="4">
        <f>=IF(TRUE,SalePrice-SaleCosts-Loan,0)</f>
      </c>
    </row>
    <row r="15" spans="1:13" x14ac:dyDescent="0.25">
      <c r="A15" t="s">
        <v>107</v>
      </c>
      <c r="D15" s="4">
        <f>=IF(1=1,0,C22)+D4+D5+D6+D7+D13+D14</f>
      </c>
      <c r="E15" s="4">
        <f>=IF(2=1,0,D22)+E4+E5+E6+E7+E13+E14</f>
      </c>
      <c r="F15" s="4">
        <f>=IF(3=1,0,E22)+F4+F5+F6+F7+F13+F14</f>
      </c>
      <c r="G15" s="4">
        <f>=IF(4=1,0,F22)+G4+G5+G6+G7+G13+G14</f>
      </c>
      <c r="H15" s="4">
        <f>=IF(5=1,0,G22)+H4+H5+H6+H7+H13+H14</f>
      </c>
      <c r="I15" s="4">
        <f>=IF(6=1,0,H22)+I4+I5+I6+I7+I13+I14</f>
      </c>
      <c r="J15" s="4">
        <f>=IF(7=1,0,I22)+J4+J5+J6+J7+J13+J14</f>
      </c>
      <c r="K15" s="4">
        <f>=IF(8=1,0,J22)+K4+K5+K6+K7+K13+K14</f>
      </c>
      <c r="L15" s="4">
        <f>=IF(9=1,0,K22)+L4+L5+L6+L7+L13+L14</f>
      </c>
      <c r="M15" s="4">
        <f>=IF(10=1,0,L22)+M4+M5+M6+M7+M13+M14</f>
      </c>
    </row>
    <row r="16" spans="1:13" x14ac:dyDescent="0.25">
      <c r="A16" t="s">
        <v>108</v>
      </c>
      <c r="C16" s="4">
        <f>=Equity</f>
      </c>
      <c r="D16" s="4">
        <f>=C21</f>
      </c>
      <c r="E16" s="4">
        <f>=D21</f>
      </c>
      <c r="F16" s="4">
        <f>=E21</f>
      </c>
      <c r="G16" s="4">
        <f>=F21</f>
      </c>
      <c r="H16" s="4">
        <f>=G21</f>
      </c>
      <c r="I16" s="4">
        <f>=H21</f>
      </c>
      <c r="J16" s="4">
        <f>=I21</f>
      </c>
      <c r="K16" s="4">
        <f>=J21</f>
      </c>
      <c r="L16" s="4">
        <f>=K21</f>
      </c>
      <c r="M16" s="4">
        <f>=L21</f>
      </c>
    </row>
    <row r="17" spans="1:13" x14ac:dyDescent="0.25">
      <c r="A17" t="s">
        <v>109</v>
      </c>
      <c r="D17" s="4">
        <f>=IF(D15&lt;0,D15,IF(OR(Payout="annual",FALSE),D15,0))</f>
      </c>
      <c r="E17" s="4">
        <f>=IF(E15&lt;0,E15,IF(OR(Payout="annual",FALSE),E15,0))</f>
      </c>
      <c r="F17" s="4">
        <f>=IF(F15&lt;0,F15,IF(OR(Payout="annual",FALSE),F15,0))</f>
      </c>
      <c r="G17" s="4">
        <f>=IF(G15&lt;0,G15,IF(OR(Payout="annual",FALSE),G15,0))</f>
      </c>
      <c r="H17" s="4">
        <f>=IF(H15&lt;0,H15,IF(OR(Payout="annual",FALSE),H15,0))</f>
      </c>
      <c r="I17" s="4">
        <f>=IF(I15&lt;0,I15,IF(OR(Payout="annual",FALSE),I15,0))</f>
      </c>
      <c r="J17" s="4">
        <f>=IF(J15&lt;0,J15,IF(OR(Payout="annual",FALSE),J15,0))</f>
      </c>
      <c r="K17" s="4">
        <f>=IF(K15&lt;0,K15,IF(OR(Payout="annual",FALSE),K15,0))</f>
      </c>
      <c r="L17" s="4">
        <f>=IF(L15&lt;0,L15,IF(OR(Payout="annual",FALSE),L15,0))</f>
      </c>
      <c r="M17" s="4">
        <f>=IF(M15&lt;0,M15,IF(OR(Payout="annual",TRUE),M15,0))</f>
      </c>
    </row>
    <row r="18" spans="1:13" x14ac:dyDescent="0.25">
      <c r="A18" t="s">
        <v>110</v>
      </c>
      <c r="D18" s="4">
        <f>=IF(D17&gt;0,MIN(D17,D16),0)</f>
      </c>
      <c r="E18" s="4">
        <f>=IF(E17&gt;0,MIN(E17,E16),0)</f>
      </c>
      <c r="F18" s="4">
        <f>=IF(F17&gt;0,MIN(F17,F16),0)</f>
      </c>
      <c r="G18" s="4">
        <f>=IF(G17&gt;0,MIN(G17,G16),0)</f>
      </c>
      <c r="H18" s="4">
        <f>=IF(H17&gt;0,MIN(H17,H16),0)</f>
      </c>
      <c r="I18" s="4">
        <f>=IF(I17&gt;0,MIN(I17,I16),0)</f>
      </c>
      <c r="J18" s="4">
        <f>=IF(J17&gt;0,MIN(J17,J16),0)</f>
      </c>
      <c r="K18" s="4">
        <f>=IF(K17&gt;0,MIN(K17,K16),0)</f>
      </c>
      <c r="L18" s="4">
        <f>=IF(L17&gt;0,MIN(L17,L16),0)</f>
      </c>
      <c r="M18" s="4">
        <f>=IF(M17&gt;0,MIN(M17,M16),0)</f>
      </c>
    </row>
    <row r="19" spans="1:13" x14ac:dyDescent="0.25">
      <c r="A19" t="s">
        <v>111</v>
      </c>
      <c r="D19" s="4">
        <f>=MAX(0,D17-D18)</f>
      </c>
      <c r="E19" s="4">
        <f>=MAX(0,E17-E18)</f>
      </c>
      <c r="F19" s="4">
        <f>=MAX(0,F17-F18)</f>
      </c>
      <c r="G19" s="4">
        <f>=MAX(0,G17-G18)</f>
      </c>
      <c r="H19" s="4">
        <f>=MAX(0,H17-H18)</f>
      </c>
      <c r="I19" s="4">
        <f>=MAX(0,I17-I18)</f>
      </c>
      <c r="J19" s="4">
        <f>=MAX(0,J17-J18)</f>
      </c>
      <c r="K19" s="4">
        <f>=MAX(0,K17-K18)</f>
      </c>
      <c r="L19" s="4">
        <f>=MAX(0,L17-L18)</f>
      </c>
      <c r="M19" s="4">
        <f>=MAX(0,M17-M18)</f>
      </c>
    </row>
    <row r="20" spans="1:13" x14ac:dyDescent="0.25">
      <c r="A20" t="s">
        <v>112</v>
      </c>
      <c r="D20" s="4">
        <f>=-IF(Band="basic",MIN(MAX(0,D19-DivAllow),BasicBand-DivAllow)*INDEX(DivRates,1)+MAX(0,MAX(0,D19-DivAllow)-(BasicBand-DivAllow))*INDEX(DivRates,2),MAX(0,D19-DivAllow)*INDEX(DivRates,MATCH(Band,BandNames,0)))</f>
      </c>
      <c r="E20" s="4">
        <f>=-IF(Band="basic",MIN(MAX(0,E19-DivAllow),BasicBand-DivAllow)*INDEX(DivRates,1)+MAX(0,MAX(0,E19-DivAllow)-(BasicBand-DivAllow))*INDEX(DivRates,2),MAX(0,E19-DivAllow)*INDEX(DivRates,MATCH(Band,BandNames,0)))</f>
      </c>
      <c r="F20" s="4">
        <f>=-IF(Band="basic",MIN(MAX(0,F19-DivAllow),BasicBand-DivAllow)*INDEX(DivRates,1)+MAX(0,MAX(0,F19-DivAllow)-(BasicBand-DivAllow))*INDEX(DivRates,2),MAX(0,F19-DivAllow)*INDEX(DivRates,MATCH(Band,BandNames,0)))</f>
      </c>
      <c r="G20" s="4">
        <f>=-IF(Band="basic",MIN(MAX(0,G19-DivAllow),BasicBand-DivAllow)*INDEX(DivRates,1)+MAX(0,MAX(0,G19-DivAllow)-(BasicBand-DivAllow))*INDEX(DivRates,2),MAX(0,G19-DivAllow)*INDEX(DivRates,MATCH(Band,BandNames,0)))</f>
      </c>
      <c r="H20" s="4">
        <f>=-IF(Band="basic",MIN(MAX(0,H19-DivAllow),BasicBand-DivAllow)*INDEX(DivRates,1)+MAX(0,MAX(0,H19-DivAllow)-(BasicBand-DivAllow))*INDEX(DivRates,2),MAX(0,H19-DivAllow)*INDEX(DivRates,MATCH(Band,BandNames,0)))</f>
      </c>
      <c r="I20" s="4">
        <f>=-IF(Band="basic",MIN(MAX(0,I19-DivAllow),BasicBand-DivAllow)*INDEX(DivRates,1)+MAX(0,MAX(0,I19-DivAllow)-(BasicBand-DivAllow))*INDEX(DivRates,2),MAX(0,I19-DivAllow)*INDEX(DivRates,MATCH(Band,BandNames,0)))</f>
      </c>
      <c r="J20" s="4">
        <f>=-IF(Band="basic",MIN(MAX(0,J19-DivAllow),BasicBand-DivAllow)*INDEX(DivRates,1)+MAX(0,MAX(0,J19-DivAllow)-(BasicBand-DivAllow))*INDEX(DivRates,2),MAX(0,J19-DivAllow)*INDEX(DivRates,MATCH(Band,BandNames,0)))</f>
      </c>
      <c r="K20" s="4">
        <f>=-IF(Band="basic",MIN(MAX(0,K19-DivAllow),BasicBand-DivAllow)*INDEX(DivRates,1)+MAX(0,MAX(0,K19-DivAllow)-(BasicBand-DivAllow))*INDEX(DivRates,2),MAX(0,K19-DivAllow)*INDEX(DivRates,MATCH(Band,BandNames,0)))</f>
      </c>
      <c r="L20" s="4">
        <f>=-IF(Band="basic",MIN(MAX(0,L19-DivAllow),BasicBand-DivAllow)*INDEX(DivRates,1)+MAX(0,MAX(0,L19-DivAllow)-(BasicBand-DivAllow))*INDEX(DivRates,2),MAX(0,L19-DivAllow)*INDEX(DivRates,MATCH(Band,BandNames,0)))</f>
      </c>
      <c r="M20" s="4">
        <f>=-IF(Band="basic",MIN(MAX(0,M19-DivAllow),BasicBand-DivAllow)*INDEX(DivRates,1)+MAX(0,MAX(0,M19-DivAllow)-(BasicBand-DivAllow))*INDEX(DivRates,2),MAX(0,M19-DivAllow)*INDEX(DivRates,MATCH(Band,BandNames,0)))</f>
      </c>
    </row>
    <row r="21" spans="1:13" x14ac:dyDescent="0.25">
      <c r="A21" t="s">
        <v>113</v>
      </c>
      <c r="C21" s="4">
        <f>=Equity</f>
      </c>
      <c r="D21" s="4">
        <f>=D16-D18+MAX(0,-D15)</f>
      </c>
      <c r="E21" s="4">
        <f>=E16-E18+MAX(0,-E15)</f>
      </c>
      <c r="F21" s="4">
        <f>=F16-F18+MAX(0,-F15)</f>
      </c>
      <c r="G21" s="4">
        <f>=G16-G18+MAX(0,-G15)</f>
      </c>
      <c r="H21" s="4">
        <f>=H16-H18+MAX(0,-H15)</f>
      </c>
      <c r="I21" s="4">
        <f>=I16-I18+MAX(0,-I15)</f>
      </c>
      <c r="J21" s="4">
        <f>=J16-J18+MAX(0,-J15)</f>
      </c>
      <c r="K21" s="4">
        <f>=K16-K18+MAX(0,-K15)</f>
      </c>
      <c r="L21" s="4">
        <f>=L16-L18+MAX(0,-L15)</f>
      </c>
      <c r="M21" s="4">
        <f>=M16-M18+MAX(0,-M15)</f>
      </c>
    </row>
    <row r="22" spans="1:13" x14ac:dyDescent="0.25">
      <c r="A22" t="s">
        <v>114</v>
      </c>
      <c r="D22" s="4">
        <f>=D15-D17</f>
      </c>
      <c r="E22" s="4">
        <f>=E15-E17</f>
      </c>
      <c r="F22" s="4">
        <f>=F15-F17</f>
      </c>
      <c r="G22" s="4">
        <f>=G15-G17</f>
      </c>
      <c r="H22" s="4">
        <f>=H15-H17</f>
      </c>
      <c r="I22" s="4">
        <f>=I15-I17</f>
      </c>
      <c r="J22" s="4">
        <f>=J15-J17</f>
      </c>
      <c r="K22" s="4">
        <f>=K15-K17</f>
      </c>
      <c r="L22" s="4">
        <f>=L15-L17</f>
      </c>
      <c r="M22" s="4">
        <f>=M15-M17</f>
      </c>
    </row>
    <row r="23" spans="1:13" s="14" customFormat="1" x14ac:dyDescent="0.25">
      <c r="A23" s="14" t="s">
        <v>99</v>
      </c>
      <c r="C23" s="16">
        <f>=-Equity</f>
      </c>
      <c r="D23" s="16">
        <f>=D17+D20</f>
      </c>
      <c r="E23" s="16">
        <f>=E17+E20</f>
      </c>
      <c r="F23" s="16">
        <f>=F17+F20</f>
      </c>
      <c r="G23" s="16">
        <f>=G17+G20</f>
      </c>
      <c r="H23" s="16">
        <f>=H17+H20</f>
      </c>
      <c r="I23" s="16">
        <f>=I17+I20</f>
      </c>
      <c r="J23" s="16">
        <f>=J17+J20</f>
      </c>
      <c r="K23" s="16">
        <f>=K17+K20</f>
      </c>
      <c r="L23" s="16">
        <f>=L17+L20</f>
      </c>
      <c r="M23" s="16">
        <f>=M17+M20</f>
      </c>
    </row>
    <row r="24" spans="1:13" x14ac:dyDescent="0.25">
      <c r="A24" t="s">
        <v>115</v>
      </c>
      <c r="C24" s="4">
        <f>=-Equity</f>
      </c>
      <c r="D24" s="4">
        <f>=D17</f>
      </c>
      <c r="E24" s="4">
        <f>=E17</f>
      </c>
      <c r="F24" s="4">
        <f>=F17</f>
      </c>
      <c r="G24" s="4">
        <f>=G17</f>
      </c>
      <c r="H24" s="4">
        <f>=H17</f>
      </c>
      <c r="I24" s="4">
        <f>=I17</f>
      </c>
      <c r="J24" s="4">
        <f>=J17</f>
      </c>
      <c r="K24" s="4">
        <f>=K17</f>
      </c>
      <c r="L24" s="4">
        <f>=L17</f>
      </c>
      <c r="M24" s="4">
        <f>=M17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Inputs</vt:lpstr>
      <vt:lpstr>Tax rates</vt:lpstr>
      <vt:lpstr>Personal</vt:lpstr>
      <vt:lpstr>Company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Buy-to-Let Returns Lab</dc:creator>
  <dc:title/>
  <dc:subject/>
  <dc:description/>
  <cp:keywords/>
  <cp:category/>
  <cp:lastModifiedBy>Unknown</cp:lastModifiedBy>
  <dcterms:created xsi:type="dcterms:W3CDTF">2026-09-26T12:35:31Z</dcterms:created>
  <dcterms:modified xsi:type="dcterms:W3CDTF">2026-09-26T12:35:31Z</dcterms:modified>
</cp:coreProperties>
</file>